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riercloud-my.sharepoint.com/personal/rladner_wlu_ca/Documents/Desktop/To Do/Campaigns/UPP Campaign/"/>
    </mc:Choice>
  </mc:AlternateContent>
  <xr:revisionPtr revIDLastSave="6" documentId="8_{10FC86F8-F357-45F2-92A7-25D13EA8F3CC}" xr6:coauthVersionLast="47" xr6:coauthVersionMax="47" xr10:uidLastSave="{82E6510D-03D7-4656-A71E-67D4B66FCECB}"/>
  <bookViews>
    <workbookView xWindow="-110" yWindow="-110" windowWidth="19420" windowHeight="10420" xr2:uid="{64260706-B83D-8F4B-80DB-B511B8C2E3D1}"/>
  </bookViews>
  <sheets>
    <sheet name="Comparison" sheetId="1" r:id="rId1"/>
    <sheet name="Assump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M12" i="1"/>
  <c r="M11" i="1"/>
  <c r="M10" i="1"/>
  <c r="M23" i="1" s="1"/>
  <c r="M25" i="1" s="1"/>
  <c r="M6" i="1"/>
  <c r="M15" i="1" s="1"/>
  <c r="M29" i="1" s="1"/>
  <c r="M5" i="1"/>
  <c r="M17" i="1" s="1"/>
  <c r="M38" i="1" l="1"/>
  <c r="M44" i="1"/>
  <c r="M19" i="1"/>
  <c r="M16" i="1"/>
  <c r="M24" i="1"/>
  <c r="M26" i="1" s="1"/>
  <c r="L23" i="1"/>
  <c r="L25" i="1" s="1"/>
  <c r="L22" i="1"/>
  <c r="K22" i="1"/>
  <c r="J22" i="1"/>
  <c r="I22" i="1"/>
  <c r="H22" i="1"/>
  <c r="G22" i="1"/>
  <c r="F22" i="1"/>
  <c r="E22" i="1"/>
  <c r="D22" i="1"/>
  <c r="C22" i="1"/>
  <c r="B22" i="1"/>
  <c r="L12" i="1"/>
  <c r="L11" i="1"/>
  <c r="L10" i="1"/>
  <c r="L24" i="1" s="1"/>
  <c r="L26" i="1" s="1"/>
  <c r="L6" i="1"/>
  <c r="L15" i="1" s="1"/>
  <c r="L29" i="1" s="1"/>
  <c r="L5" i="1"/>
  <c r="K12" i="1"/>
  <c r="J12" i="1"/>
  <c r="I12" i="1"/>
  <c r="H12" i="1"/>
  <c r="G12" i="1"/>
  <c r="F12" i="1"/>
  <c r="E12" i="1"/>
  <c r="D12" i="1"/>
  <c r="C12" i="1"/>
  <c r="B12" i="1"/>
  <c r="K11" i="1"/>
  <c r="J11" i="1"/>
  <c r="I11" i="1"/>
  <c r="H11" i="1"/>
  <c r="G11" i="1"/>
  <c r="F11" i="1"/>
  <c r="E11" i="1"/>
  <c r="D11" i="1"/>
  <c r="C11" i="1"/>
  <c r="C15" i="1" s="1"/>
  <c r="C29" i="1" s="1"/>
  <c r="B11" i="1"/>
  <c r="K10" i="1"/>
  <c r="J10" i="1"/>
  <c r="I10" i="1"/>
  <c r="H10" i="1"/>
  <c r="G10" i="1"/>
  <c r="F10" i="1"/>
  <c r="E10" i="1"/>
  <c r="D10" i="1"/>
  <c r="C10" i="1"/>
  <c r="B10" i="1"/>
  <c r="K6" i="1"/>
  <c r="J6" i="1"/>
  <c r="I6" i="1"/>
  <c r="H6" i="1"/>
  <c r="H15" i="1" s="1"/>
  <c r="H29" i="1" s="1"/>
  <c r="G6" i="1"/>
  <c r="G15" i="1" s="1"/>
  <c r="G29" i="1" s="1"/>
  <c r="F6" i="1"/>
  <c r="F15" i="1" s="1"/>
  <c r="F29" i="1" s="1"/>
  <c r="E6" i="1"/>
  <c r="E15" i="1" s="1"/>
  <c r="E29" i="1" s="1"/>
  <c r="D6" i="1"/>
  <c r="C6" i="1"/>
  <c r="B6" i="1"/>
  <c r="K5" i="1"/>
  <c r="K17" i="1" s="1"/>
  <c r="J5" i="1"/>
  <c r="J17" i="1" s="1"/>
  <c r="I5" i="1"/>
  <c r="I16" i="1" s="1"/>
  <c r="H5" i="1"/>
  <c r="H16" i="1" s="1"/>
  <c r="G5" i="1"/>
  <c r="G16" i="1" s="1"/>
  <c r="F5" i="1"/>
  <c r="F16" i="1" s="1"/>
  <c r="E5" i="1"/>
  <c r="E16" i="1" s="1"/>
  <c r="D5" i="1"/>
  <c r="C5" i="1"/>
  <c r="C17" i="1" s="1"/>
  <c r="B5" i="1"/>
  <c r="B17" i="1" s="1"/>
  <c r="E17" i="1" l="1"/>
  <c r="B23" i="1"/>
  <c r="B25" i="1" s="1"/>
  <c r="B24" i="1"/>
  <c r="B31" i="1" s="1"/>
  <c r="C24" i="1"/>
  <c r="C26" i="1" s="1"/>
  <c r="D23" i="1"/>
  <c r="D25" i="1" s="1"/>
  <c r="D24" i="1"/>
  <c r="F17" i="1"/>
  <c r="F31" i="1" s="1"/>
  <c r="E24" i="1"/>
  <c r="E26" i="1" s="1"/>
  <c r="D15" i="1"/>
  <c r="D29" i="1" s="1"/>
  <c r="F24" i="1"/>
  <c r="F26" i="1" s="1"/>
  <c r="G26" i="1"/>
  <c r="G24" i="1"/>
  <c r="I15" i="1"/>
  <c r="I29" i="1" s="1"/>
  <c r="I38" i="1" s="1"/>
  <c r="D17" i="1"/>
  <c r="D31" i="1" s="1"/>
  <c r="H23" i="1"/>
  <c r="H25" i="1" s="1"/>
  <c r="H24" i="1"/>
  <c r="H26" i="1" s="1"/>
  <c r="J15" i="1"/>
  <c r="J29" i="1" s="1"/>
  <c r="J38" i="1" s="1"/>
  <c r="L17" i="1"/>
  <c r="L31" i="1" s="1"/>
  <c r="I23" i="1"/>
  <c r="I25" i="1" s="1"/>
  <c r="I24" i="1"/>
  <c r="I26" i="1" s="1"/>
  <c r="K15" i="1"/>
  <c r="K29" i="1" s="1"/>
  <c r="J23" i="1"/>
  <c r="J25" i="1" s="1"/>
  <c r="J24" i="1"/>
  <c r="J31" i="1" s="1"/>
  <c r="K24" i="1"/>
  <c r="K31" i="1" s="1"/>
  <c r="M31" i="1"/>
  <c r="M46" i="1" s="1"/>
  <c r="M48" i="1" s="1"/>
  <c r="M30" i="1"/>
  <c r="M18" i="1"/>
  <c r="M33" i="1"/>
  <c r="M40" i="1"/>
  <c r="M42" i="1" s="1"/>
  <c r="G38" i="1"/>
  <c r="G44" i="1"/>
  <c r="H44" i="1"/>
  <c r="H38" i="1"/>
  <c r="C19" i="1"/>
  <c r="D19" i="1"/>
  <c r="L19" i="1"/>
  <c r="L38" i="1"/>
  <c r="L44" i="1"/>
  <c r="I44" i="1"/>
  <c r="E18" i="1"/>
  <c r="F18" i="1"/>
  <c r="D38" i="1"/>
  <c r="D44" i="1"/>
  <c r="F38" i="1"/>
  <c r="F44" i="1"/>
  <c r="E38" i="1"/>
  <c r="E44" i="1"/>
  <c r="I30" i="1"/>
  <c r="C44" i="1"/>
  <c r="C38" i="1"/>
  <c r="K38" i="1"/>
  <c r="K44" i="1"/>
  <c r="E19" i="1"/>
  <c r="F19" i="1"/>
  <c r="G18" i="1"/>
  <c r="H18" i="1"/>
  <c r="H30" i="1"/>
  <c r="K19" i="1"/>
  <c r="C23" i="1"/>
  <c r="C25" i="1" s="1"/>
  <c r="G17" i="1"/>
  <c r="G31" i="1" s="1"/>
  <c r="E23" i="1"/>
  <c r="E25" i="1" s="1"/>
  <c r="J16" i="1"/>
  <c r="H17" i="1"/>
  <c r="H31" i="1" s="1"/>
  <c r="F23" i="1"/>
  <c r="F25" i="1" s="1"/>
  <c r="J26" i="1"/>
  <c r="K23" i="1"/>
  <c r="K25" i="1" s="1"/>
  <c r="C16" i="1"/>
  <c r="K16" i="1"/>
  <c r="I17" i="1"/>
  <c r="I31" i="1" s="1"/>
  <c r="G23" i="1"/>
  <c r="G25" i="1" s="1"/>
  <c r="D26" i="1"/>
  <c r="D16" i="1"/>
  <c r="L16" i="1"/>
  <c r="B15" i="1"/>
  <c r="B29" i="1" s="1"/>
  <c r="B26" i="1"/>
  <c r="B16" i="1"/>
  <c r="J44" i="1" l="1"/>
  <c r="K26" i="1"/>
  <c r="J19" i="1"/>
  <c r="C31" i="1"/>
  <c r="B19" i="1"/>
  <c r="I18" i="1"/>
  <c r="E31" i="1"/>
  <c r="E40" i="1" s="1"/>
  <c r="E42" i="1" s="1"/>
  <c r="M39" i="1"/>
  <c r="M41" i="1" s="1"/>
  <c r="M45" i="1"/>
  <c r="M47" i="1" s="1"/>
  <c r="M32" i="1"/>
  <c r="H19" i="1"/>
  <c r="B33" i="1"/>
  <c r="B46" i="1"/>
  <c r="B40" i="1"/>
  <c r="I32" i="1"/>
  <c r="I39" i="1"/>
  <c r="I41" i="1" s="1"/>
  <c r="I45" i="1"/>
  <c r="I47" i="1" s="1"/>
  <c r="E33" i="1"/>
  <c r="E46" i="1"/>
  <c r="E48" i="1" s="1"/>
  <c r="G30" i="1"/>
  <c r="B18" i="1"/>
  <c r="B30" i="1"/>
  <c r="K30" i="1"/>
  <c r="K18" i="1"/>
  <c r="L30" i="1"/>
  <c r="L18" i="1"/>
  <c r="I19" i="1"/>
  <c r="J18" i="1"/>
  <c r="J30" i="1"/>
  <c r="B44" i="1"/>
  <c r="B38" i="1"/>
  <c r="F40" i="1"/>
  <c r="F42" i="1" s="1"/>
  <c r="F33" i="1"/>
  <c r="F46" i="1"/>
  <c r="F48" i="1" s="1"/>
  <c r="F30" i="1"/>
  <c r="L33" i="1"/>
  <c r="L40" i="1"/>
  <c r="L42" i="1" s="1"/>
  <c r="L46" i="1"/>
  <c r="L48" i="1" s="1"/>
  <c r="J33" i="1"/>
  <c r="J46" i="1"/>
  <c r="J48" i="1" s="1"/>
  <c r="J40" i="1"/>
  <c r="J42" i="1" s="1"/>
  <c r="C30" i="1"/>
  <c r="C18" i="1"/>
  <c r="G19" i="1"/>
  <c r="D30" i="1"/>
  <c r="D18" i="1"/>
  <c r="K46" i="1"/>
  <c r="K48" i="1" s="1"/>
  <c r="K33" i="1"/>
  <c r="K40" i="1"/>
  <c r="K42" i="1" s="1"/>
  <c r="D46" i="1"/>
  <c r="D48" i="1" s="1"/>
  <c r="D33" i="1"/>
  <c r="D40" i="1"/>
  <c r="D42" i="1" s="1"/>
  <c r="H32" i="1"/>
  <c r="H39" i="1"/>
  <c r="H41" i="1" s="1"/>
  <c r="H45" i="1"/>
  <c r="H47" i="1" s="1"/>
  <c r="C33" i="1"/>
  <c r="C40" i="1"/>
  <c r="C42" i="1" s="1"/>
  <c r="C46" i="1"/>
  <c r="C48" i="1" s="1"/>
  <c r="E30" i="1"/>
  <c r="B42" i="1" l="1"/>
  <c r="B48" i="1"/>
  <c r="J32" i="1"/>
  <c r="J39" i="1"/>
  <c r="J41" i="1" s="1"/>
  <c r="J45" i="1"/>
  <c r="J47" i="1" s="1"/>
  <c r="L39" i="1"/>
  <c r="L41" i="1" s="1"/>
  <c r="L45" i="1"/>
  <c r="L47" i="1" s="1"/>
  <c r="L32" i="1"/>
  <c r="D39" i="1"/>
  <c r="D41" i="1" s="1"/>
  <c r="D32" i="1"/>
  <c r="D45" i="1"/>
  <c r="D47" i="1" s="1"/>
  <c r="K32" i="1"/>
  <c r="K39" i="1"/>
  <c r="K41" i="1" s="1"/>
  <c r="K45" i="1"/>
  <c r="K47" i="1" s="1"/>
  <c r="F32" i="1"/>
  <c r="F39" i="1"/>
  <c r="F41" i="1" s="1"/>
  <c r="F45" i="1"/>
  <c r="F47" i="1" s="1"/>
  <c r="G32" i="1"/>
  <c r="G39" i="1"/>
  <c r="G41" i="1" s="1"/>
  <c r="G45" i="1"/>
  <c r="G47" i="1" s="1"/>
  <c r="G33" i="1"/>
  <c r="G40" i="1"/>
  <c r="G42" i="1" s="1"/>
  <c r="G46" i="1"/>
  <c r="G48" i="1" s="1"/>
  <c r="B32" i="1"/>
  <c r="B39" i="1"/>
  <c r="B41" i="1" s="1"/>
  <c r="B45" i="1"/>
  <c r="B47" i="1" s="1"/>
  <c r="E45" i="1"/>
  <c r="E47" i="1" s="1"/>
  <c r="E39" i="1"/>
  <c r="E41" i="1" s="1"/>
  <c r="E32" i="1"/>
  <c r="C39" i="1"/>
  <c r="C41" i="1" s="1"/>
  <c r="C45" i="1"/>
  <c r="C47" i="1" s="1"/>
  <c r="C32" i="1"/>
  <c r="I33" i="1"/>
  <c r="I40" i="1"/>
  <c r="I42" i="1" s="1"/>
  <c r="I46" i="1"/>
  <c r="I48" i="1" s="1"/>
  <c r="H33" i="1"/>
  <c r="H40" i="1"/>
  <c r="H42" i="1" s="1"/>
  <c r="H46" i="1"/>
  <c r="H48" i="1" s="1"/>
</calcChain>
</file>

<file path=xl/sharedStrings.xml><?xml version="1.0" encoding="utf-8"?>
<sst xmlns="http://schemas.openxmlformats.org/spreadsheetml/2006/main" count="48" uniqueCount="38">
  <si>
    <t>EARNINGS (prior to offset)</t>
  </si>
  <si>
    <t>Final Salary</t>
  </si>
  <si>
    <t>4-year Best Average Salary</t>
  </si>
  <si>
    <t>5-year Best Average Salary</t>
  </si>
  <si>
    <t>CPP THRESHOLD</t>
  </si>
  <si>
    <t>YMPE</t>
  </si>
  <si>
    <t>YAMPE</t>
  </si>
  <si>
    <t>5-year Average YMPE</t>
  </si>
  <si>
    <t>4-year Average YAMPE</t>
  </si>
  <si>
    <t>BENEFIT ACCRUAL</t>
  </si>
  <si>
    <t>WLU</t>
  </si>
  <si>
    <t>WLU MGP</t>
  </si>
  <si>
    <t>UPP</t>
  </si>
  <si>
    <t>MEMBER CONTRIBUTION</t>
  </si>
  <si>
    <t>UPP, with Offset</t>
  </si>
  <si>
    <t>UPP, with Offset (Effective Contribution)</t>
  </si>
  <si>
    <t>BENEFIT PER (EFFECTIVE) CONTRIBUTION DOLLAR</t>
  </si>
  <si>
    <t xml:space="preserve">UPP, with Offset </t>
  </si>
  <si>
    <t>Salary Increase</t>
  </si>
  <si>
    <t>L5 to L10 factor</t>
  </si>
  <si>
    <t>L5 to J&amp;S50 factor</t>
  </si>
  <si>
    <t>Discount Rate</t>
  </si>
  <si>
    <t>Age of Retirement</t>
  </si>
  <si>
    <t>Gender</t>
  </si>
  <si>
    <t>Male</t>
  </si>
  <si>
    <t>Mortality</t>
  </si>
  <si>
    <t>2014 Public CPM</t>
  </si>
  <si>
    <t>Change, UPP</t>
  </si>
  <si>
    <t>Change, UPP with Offset</t>
  </si>
  <si>
    <t>Effective Change, UPP, with Offset</t>
  </si>
  <si>
    <t>Ignores all ancillary benefits such as normal form, indexing, early retirement, "best of", CV options, etc.</t>
  </si>
  <si>
    <t>BENEFIT PER CONTRIBUTION DOLLAR ADJUSTED FOR POST-RETIREMENT DEATH BENEFIT (NORMAL FORM)</t>
  </si>
  <si>
    <t>WLU, without spouse (GTE5)</t>
  </si>
  <si>
    <t>UPP, without spouse (GTE10)</t>
  </si>
  <si>
    <t>UPP, with offset, without spouse (GTE10)</t>
  </si>
  <si>
    <t>WLU, with spouse (GTE5)</t>
  </si>
  <si>
    <t>UPP, with spouse (50% J&amp;S)</t>
  </si>
  <si>
    <t>UPP, with spouse, with offset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</si>
</sst>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%"/>
    <numFmt numFmtId="166" formatCode="0.0000%"/>
    <numFmt numFmtId="167" formatCode="_-* #,##0_-;\-* #,##0_-;_-* &quot;-&quot;??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166" fontId="0" fillId="0" borderId="0" xfId="2" applyNumberFormat="1" applyFont="1"/>
    <xf numFmtId="0" fontId="0" fillId="0" borderId="0" xfId="2" applyNumberFormat="1" applyFont="1"/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4" fillId="0" borderId="1" xfId="0" applyFont="1" applyBorder="1"/>
    <xf numFmtId="0" fontId="4" fillId="0" borderId="1" xfId="0" applyFont="1" applyBorder="1" applyProtection="1">
      <protection locked="0"/>
    </xf>
    <xf numFmtId="3" fontId="4" fillId="0" borderId="1" xfId="0" applyNumberFormat="1" applyFont="1" applyBorder="1"/>
    <xf numFmtId="0" fontId="0" fillId="0" borderId="1" xfId="0" applyBorder="1"/>
    <xf numFmtId="167" fontId="0" fillId="0" borderId="1" xfId="1" applyNumberFormat="1" applyFont="1" applyBorder="1"/>
    <xf numFmtId="167" fontId="0" fillId="0" borderId="1" xfId="1" applyNumberFormat="1" applyFont="1" applyBorder="1" applyProtection="1"/>
    <xf numFmtId="3" fontId="0" fillId="0" borderId="1" xfId="0" applyNumberFormat="1" applyBorder="1"/>
    <xf numFmtId="165" fontId="0" fillId="0" borderId="1" xfId="2" applyNumberFormat="1" applyFont="1" applyBorder="1"/>
    <xf numFmtId="165" fontId="0" fillId="0" borderId="1" xfId="2" applyNumberFormat="1" applyFont="1" applyBorder="1" applyProtection="1"/>
    <xf numFmtId="165" fontId="0" fillId="0" borderId="1" xfId="0" applyNumberFormat="1" applyBorder="1"/>
    <xf numFmtId="0" fontId="0" fillId="0" borderId="1" xfId="0" applyBorder="1" applyProtection="1">
      <protection locked="0"/>
    </xf>
    <xf numFmtId="165" fontId="3" fillId="0" borderId="1" xfId="2" applyNumberFormat="1" applyFont="1" applyBorder="1"/>
    <xf numFmtId="165" fontId="2" fillId="0" borderId="1" xfId="2" applyNumberFormat="1" applyFont="1" applyBorder="1"/>
    <xf numFmtId="165" fontId="3" fillId="0" borderId="1" xfId="0" applyNumberFormat="1" applyFont="1" applyBorder="1"/>
    <xf numFmtId="165" fontId="2" fillId="0" borderId="1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4B834-C7A6-1D4B-9E55-51ADB9A89957}">
  <dimension ref="A3:M48"/>
  <sheetViews>
    <sheetView tabSelected="1" zoomScale="80" zoomScaleNormal="80" workbookViewId="0">
      <selection activeCell="A7" sqref="A7"/>
    </sheetView>
  </sheetViews>
  <sheetFormatPr defaultColWidth="10.6640625" defaultRowHeight="15.5" x14ac:dyDescent="0.35"/>
  <cols>
    <col min="1" max="1" width="42" customWidth="1"/>
    <col min="2" max="10" width="10.83203125" customWidth="1"/>
    <col min="11" max="11" width="10.83203125" style="6" customWidth="1"/>
    <col min="12" max="12" width="10.83203125" customWidth="1"/>
  </cols>
  <sheetData>
    <row r="3" spans="1:13" x14ac:dyDescent="0.35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8"/>
      <c r="L3" s="7"/>
      <c r="M3" s="7"/>
    </row>
    <row r="4" spans="1:13" x14ac:dyDescent="0.35">
      <c r="A4" s="7" t="s">
        <v>1</v>
      </c>
      <c r="B4" s="7">
        <v>25000</v>
      </c>
      <c r="C4" s="9">
        <v>50000</v>
      </c>
      <c r="D4" s="9">
        <v>75000</v>
      </c>
      <c r="E4" s="9">
        <v>100000</v>
      </c>
      <c r="F4" s="9">
        <v>125000</v>
      </c>
      <c r="G4" s="9">
        <v>150000</v>
      </c>
      <c r="H4" s="9">
        <v>175000</v>
      </c>
      <c r="I4" s="9">
        <v>200000</v>
      </c>
      <c r="J4" s="9">
        <v>225000</v>
      </c>
      <c r="K4" s="9">
        <v>250000</v>
      </c>
      <c r="L4" s="9">
        <v>275000</v>
      </c>
      <c r="M4" s="9">
        <v>300000</v>
      </c>
    </row>
    <row r="5" spans="1:13" x14ac:dyDescent="0.35">
      <c r="A5" s="10" t="s">
        <v>2</v>
      </c>
      <c r="B5" s="11">
        <f>ROUND(B4*(1+1/(1+Assumptions!$B$2)+1/(1+Assumptions!$B$2)^2+1/(1+Assumptions!$B$2)^3)/4,0)</f>
        <v>23929</v>
      </c>
      <c r="C5" s="11">
        <f>ROUND(C4*(1+1/(1+Assumptions!$B$2)+1/(1+Assumptions!$B$2)^2+1/(1+Assumptions!$B$2)^3)/4,0)</f>
        <v>47858</v>
      </c>
      <c r="D5" s="11">
        <f>ROUND(D4*(1+1/(1+Assumptions!$B$2)+1/(1+Assumptions!$B$2)^2+1/(1+Assumptions!$B$2)^3)/4,0)</f>
        <v>71786</v>
      </c>
      <c r="E5" s="11">
        <f>ROUND(E4*(1+1/(1+Assumptions!$B$2)+1/(1+Assumptions!$B$2)^2+1/(1+Assumptions!$B$2)^3)/4,0)</f>
        <v>95715</v>
      </c>
      <c r="F5" s="11">
        <f>ROUND(F4*(1+1/(1+Assumptions!$B$2)+1/(1+Assumptions!$B$2)^2+1/(1+Assumptions!$B$2)^3)/4,0)</f>
        <v>119644</v>
      </c>
      <c r="G5" s="11">
        <f>ROUND(G4*(1+1/(1+Assumptions!$B$2)+1/(1+Assumptions!$B$2)^2+1/(1+Assumptions!$B$2)^3)/4,0)</f>
        <v>143573</v>
      </c>
      <c r="H5" s="11">
        <f>ROUND(H4*(1+1/(1+Assumptions!$B$2)+1/(1+Assumptions!$B$2)^2+1/(1+Assumptions!$B$2)^3)/4,0)</f>
        <v>167502</v>
      </c>
      <c r="I5" s="11">
        <f>ROUND(I4*(1+1/(1+Assumptions!$B$2)+1/(1+Assumptions!$B$2)^2+1/(1+Assumptions!$B$2)^3)/4,0)</f>
        <v>191431</v>
      </c>
      <c r="J5" s="11">
        <f>ROUND(J4*(1+1/(1+Assumptions!$B$2)+1/(1+Assumptions!$B$2)^2+1/(1+Assumptions!$B$2)^3)/4,0)</f>
        <v>215359</v>
      </c>
      <c r="K5" s="12">
        <f>ROUND(K4*(1+1/(1+Assumptions!$B$2)+1/(1+Assumptions!$B$2)^2+1/(1+Assumptions!$B$2)^3)/4,0)</f>
        <v>239288</v>
      </c>
      <c r="L5" s="11">
        <f>ROUND(L4*(1+1/(1+Assumptions!$B$2)+1/(1+Assumptions!$B$2)^2+1/(1+Assumptions!$B$2)^3)/4,0)</f>
        <v>263217</v>
      </c>
      <c r="M5" s="11">
        <f>ROUND(M4*(1+1/(1+Assumptions!$B$2)+1/(1+Assumptions!$B$2)^2+1/(1+Assumptions!$B$2)^3)/4,0)</f>
        <v>287146</v>
      </c>
    </row>
    <row r="6" spans="1:13" x14ac:dyDescent="0.35">
      <c r="A6" s="10" t="s">
        <v>3</v>
      </c>
      <c r="B6" s="11">
        <f>ROUND(B4*(1+1/(1+Assumptions!$B$2)+1/(1+Assumptions!$B$2)^2+1/(1+Assumptions!$B$2)^3+1/(1+Assumptions!$B$2)^4)/5,0)</f>
        <v>23585</v>
      </c>
      <c r="C6" s="11">
        <f>ROUND(C4*(1+1/(1+Assumptions!$B$2)+1/(1+Assumptions!$B$2)^2+1/(1+Assumptions!$B$2)^3+1/(1+Assumptions!$B$2)^4)/5,0)</f>
        <v>47171</v>
      </c>
      <c r="D6" s="11">
        <f>ROUND(D4*(1+1/(1+Assumptions!$B$2)+1/(1+Assumptions!$B$2)^2+1/(1+Assumptions!$B$2)^3+1/(1+Assumptions!$B$2)^4)/5,0)</f>
        <v>70756</v>
      </c>
      <c r="E6" s="11">
        <f>ROUND(E4*(1+1/(1+Assumptions!$B$2)+1/(1+Assumptions!$B$2)^2+1/(1+Assumptions!$B$2)^3+1/(1+Assumptions!$B$2)^4)/5,0)</f>
        <v>94342</v>
      </c>
      <c r="F6" s="11">
        <f>ROUND(F4*(1+1/(1+Assumptions!$B$2)+1/(1+Assumptions!$B$2)^2+1/(1+Assumptions!$B$2)^3+1/(1+Assumptions!$B$2)^4)/5,0)</f>
        <v>117927</v>
      </c>
      <c r="G6" s="11">
        <f>ROUND(G4*(1+1/(1+Assumptions!$B$2)+1/(1+Assumptions!$B$2)^2+1/(1+Assumptions!$B$2)^3+1/(1+Assumptions!$B$2)^4)/5,0)</f>
        <v>141513</v>
      </c>
      <c r="H6" s="11">
        <f>ROUND(H4*(1+1/(1+Assumptions!$B$2)+1/(1+Assumptions!$B$2)^2+1/(1+Assumptions!$B$2)^3+1/(1+Assumptions!$B$2)^4)/5,0)</f>
        <v>165098</v>
      </c>
      <c r="I6" s="11">
        <f>ROUND(I4*(1+1/(1+Assumptions!$B$2)+1/(1+Assumptions!$B$2)^2+1/(1+Assumptions!$B$2)^3+1/(1+Assumptions!$B$2)^4)/5,0)</f>
        <v>188684</v>
      </c>
      <c r="J6" s="11">
        <f>ROUND(J4*(1+1/(1+Assumptions!$B$2)+1/(1+Assumptions!$B$2)^2+1/(1+Assumptions!$B$2)^3+1/(1+Assumptions!$B$2)^4)/5,0)</f>
        <v>212269</v>
      </c>
      <c r="K6" s="12">
        <f>ROUND(K4*(1+1/(1+Assumptions!$B$2)+1/(1+Assumptions!$B$2)^2+1/(1+Assumptions!$B$2)^3+1/(1+Assumptions!$B$2)^4)/5,0)</f>
        <v>235855</v>
      </c>
      <c r="L6" s="11">
        <f>ROUND(L4*(1+1/(1+Assumptions!$B$2)+1/(1+Assumptions!$B$2)^2+1/(1+Assumptions!$B$2)^3+1/(1+Assumptions!$B$2)^4)/5,0)</f>
        <v>259440</v>
      </c>
      <c r="M6" s="11">
        <f>ROUND(M4*(1+1/(1+Assumptions!$B$2)+1/(1+Assumptions!$B$2)^2+1/(1+Assumptions!$B$2)^3+1/(1+Assumptions!$B$2)^4)/5,0)</f>
        <v>283026</v>
      </c>
    </row>
    <row r="7" spans="1:13" x14ac:dyDescent="0.3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x14ac:dyDescent="0.35">
      <c r="A8" s="10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x14ac:dyDescent="0.35">
      <c r="A9" s="10" t="s">
        <v>5</v>
      </c>
      <c r="B9" s="13">
        <v>64900</v>
      </c>
      <c r="C9" s="13">
        <v>64900</v>
      </c>
      <c r="D9" s="13">
        <v>64900</v>
      </c>
      <c r="E9" s="13">
        <v>64900</v>
      </c>
      <c r="F9" s="13">
        <v>64900</v>
      </c>
      <c r="G9" s="13">
        <v>64900</v>
      </c>
      <c r="H9" s="13">
        <v>64900</v>
      </c>
      <c r="I9" s="13">
        <v>64900</v>
      </c>
      <c r="J9" s="13">
        <v>64900</v>
      </c>
      <c r="K9" s="13">
        <v>64900</v>
      </c>
      <c r="L9" s="13">
        <v>64900</v>
      </c>
      <c r="M9" s="13">
        <v>64900</v>
      </c>
    </row>
    <row r="10" spans="1:13" x14ac:dyDescent="0.35">
      <c r="A10" s="10" t="s">
        <v>6</v>
      </c>
      <c r="B10" s="11">
        <f>ROUND(1.14*B9,0)</f>
        <v>73986</v>
      </c>
      <c r="C10" s="11">
        <f t="shared" ref="C10:L10" si="0">ROUND(1.14*C9,0)</f>
        <v>73986</v>
      </c>
      <c r="D10" s="11">
        <f t="shared" si="0"/>
        <v>73986</v>
      </c>
      <c r="E10" s="11">
        <f t="shared" si="0"/>
        <v>73986</v>
      </c>
      <c r="F10" s="11">
        <f t="shared" si="0"/>
        <v>73986</v>
      </c>
      <c r="G10" s="11">
        <f t="shared" si="0"/>
        <v>73986</v>
      </c>
      <c r="H10" s="11">
        <f t="shared" si="0"/>
        <v>73986</v>
      </c>
      <c r="I10" s="11">
        <f t="shared" si="0"/>
        <v>73986</v>
      </c>
      <c r="J10" s="11">
        <f t="shared" si="0"/>
        <v>73986</v>
      </c>
      <c r="K10" s="12">
        <f t="shared" si="0"/>
        <v>73986</v>
      </c>
      <c r="L10" s="11">
        <f t="shared" si="0"/>
        <v>73986</v>
      </c>
      <c r="M10" s="11">
        <f t="shared" ref="M10" si="1">ROUND(1.14*M9,0)</f>
        <v>73986</v>
      </c>
    </row>
    <row r="11" spans="1:13" x14ac:dyDescent="0.35">
      <c r="A11" s="10" t="s">
        <v>7</v>
      </c>
      <c r="B11" s="11">
        <f>ROUND((64900+61600+58700+57400+55900)/5,0)</f>
        <v>59700</v>
      </c>
      <c r="C11" s="11">
        <f t="shared" ref="C11:M11" si="2">ROUND((64900+61600+58700+57400+55900)/5,0)</f>
        <v>59700</v>
      </c>
      <c r="D11" s="11">
        <f t="shared" si="2"/>
        <v>59700</v>
      </c>
      <c r="E11" s="11">
        <f t="shared" si="2"/>
        <v>59700</v>
      </c>
      <c r="F11" s="11">
        <f t="shared" si="2"/>
        <v>59700</v>
      </c>
      <c r="G11" s="11">
        <f t="shared" si="2"/>
        <v>59700</v>
      </c>
      <c r="H11" s="11">
        <f t="shared" si="2"/>
        <v>59700</v>
      </c>
      <c r="I11" s="11">
        <f t="shared" si="2"/>
        <v>59700</v>
      </c>
      <c r="J11" s="11">
        <f t="shared" si="2"/>
        <v>59700</v>
      </c>
      <c r="K11" s="12">
        <f t="shared" si="2"/>
        <v>59700</v>
      </c>
      <c r="L11" s="11">
        <f t="shared" si="2"/>
        <v>59700</v>
      </c>
      <c r="M11" s="11">
        <f t="shared" si="2"/>
        <v>59700</v>
      </c>
    </row>
    <row r="12" spans="1:13" x14ac:dyDescent="0.35">
      <c r="A12" s="10" t="s">
        <v>8</v>
      </c>
      <c r="B12" s="11">
        <f>ROUND((64900+61600+58700+57400)/4*1.14,0)</f>
        <v>69141</v>
      </c>
      <c r="C12" s="11">
        <f t="shared" ref="C12:M12" si="3">ROUND((64900+61600+58700+57400)/4*1.14,0)</f>
        <v>69141</v>
      </c>
      <c r="D12" s="11">
        <f t="shared" si="3"/>
        <v>69141</v>
      </c>
      <c r="E12" s="11">
        <f t="shared" si="3"/>
        <v>69141</v>
      </c>
      <c r="F12" s="11">
        <f t="shared" si="3"/>
        <v>69141</v>
      </c>
      <c r="G12" s="11">
        <f t="shared" si="3"/>
        <v>69141</v>
      </c>
      <c r="H12" s="11">
        <f t="shared" si="3"/>
        <v>69141</v>
      </c>
      <c r="I12" s="11">
        <f t="shared" si="3"/>
        <v>69141</v>
      </c>
      <c r="J12" s="11">
        <f t="shared" si="3"/>
        <v>69141</v>
      </c>
      <c r="K12" s="12">
        <f t="shared" si="3"/>
        <v>69141</v>
      </c>
      <c r="L12" s="11">
        <f t="shared" si="3"/>
        <v>69141</v>
      </c>
      <c r="M12" s="11">
        <f t="shared" si="3"/>
        <v>69141</v>
      </c>
    </row>
    <row r="13" spans="1:13" x14ac:dyDescent="0.3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x14ac:dyDescent="0.35">
      <c r="A14" s="10" t="s">
        <v>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x14ac:dyDescent="0.35">
      <c r="A15" s="10" t="s">
        <v>11</v>
      </c>
      <c r="B15" s="11">
        <f>ROUND(0.0137*MIN(B$6,B$11)+0.02*MAX(0,MIN(B$6-B$11,188684-B$11)),0)</f>
        <v>323</v>
      </c>
      <c r="C15" s="11">
        <f t="shared" ref="C15:M15" si="4">ROUND(0.0137*MIN(C$6,C$11)+0.02*MAX(0,MIN(C$6-C$11,188684-C$11)),0)</f>
        <v>646</v>
      </c>
      <c r="D15" s="11">
        <f t="shared" si="4"/>
        <v>1039</v>
      </c>
      <c r="E15" s="11">
        <f t="shared" si="4"/>
        <v>1511</v>
      </c>
      <c r="F15" s="11">
        <f t="shared" si="4"/>
        <v>1982</v>
      </c>
      <c r="G15" s="11">
        <f t="shared" si="4"/>
        <v>2454</v>
      </c>
      <c r="H15" s="11">
        <f t="shared" si="4"/>
        <v>2926</v>
      </c>
      <c r="I15" s="11">
        <f t="shared" si="4"/>
        <v>3398</v>
      </c>
      <c r="J15" s="11">
        <f t="shared" si="4"/>
        <v>3398</v>
      </c>
      <c r="K15" s="12">
        <f t="shared" si="4"/>
        <v>3398</v>
      </c>
      <c r="L15" s="11">
        <f t="shared" si="4"/>
        <v>3398</v>
      </c>
      <c r="M15" s="11">
        <f t="shared" si="4"/>
        <v>3398</v>
      </c>
    </row>
    <row r="16" spans="1:13" x14ac:dyDescent="0.35">
      <c r="A16" s="10" t="s">
        <v>12</v>
      </c>
      <c r="B16" s="11">
        <f>ROUND(0.016*MIN(B$5,B$12)+0.02*MAX(0,MIN(B$5-B$12, 191400-B$12)),0)</f>
        <v>383</v>
      </c>
      <c r="C16" s="11">
        <f t="shared" ref="C16:M16" si="5">ROUND(0.016*MIN(C$5,C$12)+0.02*MAX(0,MIN(C$5-C$12, 191400-C$12)),0)</f>
        <v>766</v>
      </c>
      <c r="D16" s="11">
        <f t="shared" si="5"/>
        <v>1159</v>
      </c>
      <c r="E16" s="11">
        <f t="shared" si="5"/>
        <v>1638</v>
      </c>
      <c r="F16" s="11">
        <f t="shared" si="5"/>
        <v>2116</v>
      </c>
      <c r="G16" s="11">
        <f t="shared" si="5"/>
        <v>2595</v>
      </c>
      <c r="H16" s="11">
        <f t="shared" si="5"/>
        <v>3073</v>
      </c>
      <c r="I16" s="11">
        <f t="shared" si="5"/>
        <v>3551</v>
      </c>
      <c r="J16" s="11">
        <f t="shared" si="5"/>
        <v>3551</v>
      </c>
      <c r="K16" s="12">
        <f t="shared" si="5"/>
        <v>3551</v>
      </c>
      <c r="L16" s="11">
        <f t="shared" si="5"/>
        <v>3551</v>
      </c>
      <c r="M16" s="11">
        <f t="shared" si="5"/>
        <v>3551</v>
      </c>
    </row>
    <row r="17" spans="1:13" x14ac:dyDescent="0.35">
      <c r="A17" s="10" t="s">
        <v>14</v>
      </c>
      <c r="B17" s="11">
        <f>ROUND(0.016*MIN(1.012*B$5,B$12)+0.02*MAX(0,MIN(1.012*B$5-B$12, 191400-B$12)),0)</f>
        <v>387</v>
      </c>
      <c r="C17" s="11">
        <f>ROUND(0.016*MIN(1.012*C$5,C$12)+0.02*MAX(0,MIN(1.012*C$5-C$12, 191400-C$12)),0)</f>
        <v>775</v>
      </c>
      <c r="D17" s="11">
        <f>ROUND(0.016*MIN(1.012*D$5,D$12)+0.02*MAX(0,MIN(1.012*D$5-D$12, 191400-D$12)),0)</f>
        <v>1176</v>
      </c>
      <c r="E17" s="11">
        <f>ROUND(0.016*MIN(1.012*E$5,E$12)+0.02*MAX(0,MIN(1.012*E$5-E$12, 191400-E$12)),0)</f>
        <v>1661</v>
      </c>
      <c r="F17" s="11">
        <f t="shared" ref="F17:M17" si="6">ROUND(0.016*MIN(1.012*F$5,F$12)+0.02*MAX(0,MIN(1.012*F$5-F$12, 191400-F$12)),0)</f>
        <v>2145</v>
      </c>
      <c r="G17" s="11">
        <f t="shared" si="6"/>
        <v>2629</v>
      </c>
      <c r="H17" s="11">
        <f t="shared" si="6"/>
        <v>3114</v>
      </c>
      <c r="I17" s="11">
        <f t="shared" si="6"/>
        <v>3551</v>
      </c>
      <c r="J17" s="11">
        <f t="shared" si="6"/>
        <v>3551</v>
      </c>
      <c r="K17" s="12">
        <f t="shared" si="6"/>
        <v>3551</v>
      </c>
      <c r="L17" s="11">
        <f t="shared" si="6"/>
        <v>3551</v>
      </c>
      <c r="M17" s="11">
        <f t="shared" si="6"/>
        <v>3551</v>
      </c>
    </row>
    <row r="18" spans="1:13" x14ac:dyDescent="0.35">
      <c r="A18" s="10" t="s">
        <v>27</v>
      </c>
      <c r="B18" s="14">
        <f>B16/B15-1</f>
        <v>0.18575851393188847</v>
      </c>
      <c r="C18" s="14">
        <f t="shared" ref="C18:L18" si="7">C16/C15-1</f>
        <v>0.18575851393188847</v>
      </c>
      <c r="D18" s="14">
        <f t="shared" si="7"/>
        <v>0.11549566891241581</v>
      </c>
      <c r="E18" s="14">
        <f t="shared" si="7"/>
        <v>8.4050297816015807E-2</v>
      </c>
      <c r="F18" s="14">
        <f t="shared" si="7"/>
        <v>6.7608476286579178E-2</v>
      </c>
      <c r="G18" s="14">
        <f t="shared" si="7"/>
        <v>5.7457212713936334E-2</v>
      </c>
      <c r="H18" s="14">
        <f t="shared" si="7"/>
        <v>5.0239234449760861E-2</v>
      </c>
      <c r="I18" s="14">
        <f t="shared" si="7"/>
        <v>4.5026486168334268E-2</v>
      </c>
      <c r="J18" s="14">
        <f t="shared" si="7"/>
        <v>4.5026486168334268E-2</v>
      </c>
      <c r="K18" s="15">
        <f t="shared" si="7"/>
        <v>4.5026486168334268E-2</v>
      </c>
      <c r="L18" s="14">
        <f t="shared" si="7"/>
        <v>4.5026486168334268E-2</v>
      </c>
      <c r="M18" s="14">
        <f t="shared" ref="M18" si="8">M16/M15-1</f>
        <v>4.5026486168334268E-2</v>
      </c>
    </row>
    <row r="19" spans="1:13" x14ac:dyDescent="0.35">
      <c r="A19" s="10" t="s">
        <v>28</v>
      </c>
      <c r="B19" s="14">
        <f>B17/B15 -1</f>
        <v>0.19814241486068118</v>
      </c>
      <c r="C19" s="14">
        <f t="shared" ref="C19:L19" si="9">C17/C15 -1</f>
        <v>0.19969040247678027</v>
      </c>
      <c r="D19" s="14">
        <f t="shared" si="9"/>
        <v>0.13185755534167476</v>
      </c>
      <c r="E19" s="14">
        <f t="shared" si="9"/>
        <v>9.927200529450686E-2</v>
      </c>
      <c r="F19" s="14">
        <f t="shared" si="9"/>
        <v>8.2240161453077665E-2</v>
      </c>
      <c r="G19" s="14">
        <f t="shared" si="9"/>
        <v>7.1312143439282716E-2</v>
      </c>
      <c r="H19" s="14">
        <f t="shared" si="9"/>
        <v>6.4251537935748448E-2</v>
      </c>
      <c r="I19" s="14">
        <f t="shared" si="9"/>
        <v>4.5026486168334268E-2</v>
      </c>
      <c r="J19" s="14">
        <f t="shared" si="9"/>
        <v>4.5026486168334268E-2</v>
      </c>
      <c r="K19" s="15">
        <f t="shared" si="9"/>
        <v>4.5026486168334268E-2</v>
      </c>
      <c r="L19" s="14">
        <f t="shared" si="9"/>
        <v>4.5026486168334268E-2</v>
      </c>
      <c r="M19" s="14">
        <f t="shared" ref="M19" si="10">M17/M15 -1</f>
        <v>4.5026486168334268E-2</v>
      </c>
    </row>
    <row r="20" spans="1:13" x14ac:dyDescent="0.3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x14ac:dyDescent="0.35">
      <c r="A21" s="10" t="s">
        <v>13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x14ac:dyDescent="0.35">
      <c r="A22" s="10" t="s">
        <v>10</v>
      </c>
      <c r="B22" s="14">
        <f>(0.08*MIN(B$4,B$9)+0.1*MAX(0,MIN(B$4-B$9,188694-B$9)))/B4</f>
        <v>0.08</v>
      </c>
      <c r="C22" s="14">
        <f t="shared" ref="C22:L22" si="11">(0.08*MIN(C$4,C$9)+0.1*MAX(0,MIN(C$4-C$9,188694-C$9)))/C4</f>
        <v>0.08</v>
      </c>
      <c r="D22" s="14">
        <f t="shared" si="11"/>
        <v>8.2693333333333327E-2</v>
      </c>
      <c r="E22" s="14">
        <f t="shared" si="11"/>
        <v>8.702E-2</v>
      </c>
      <c r="F22" s="14">
        <f t="shared" si="11"/>
        <v>8.9616000000000001E-2</v>
      </c>
      <c r="G22" s="14">
        <f t="shared" si="11"/>
        <v>9.1346666666666673E-2</v>
      </c>
      <c r="H22" s="14">
        <f t="shared" si="11"/>
        <v>9.2582857142857147E-2</v>
      </c>
      <c r="I22" s="14">
        <f t="shared" si="11"/>
        <v>8.7857000000000005E-2</v>
      </c>
      <c r="J22" s="14">
        <f t="shared" si="11"/>
        <v>7.8095111111111115E-2</v>
      </c>
      <c r="K22" s="15">
        <f t="shared" si="11"/>
        <v>7.0285600000000004E-2</v>
      </c>
      <c r="L22" s="14">
        <f t="shared" si="11"/>
        <v>6.3896000000000008E-2</v>
      </c>
      <c r="M22" s="14">
        <f t="shared" ref="M22" si="12">(0.08*MIN(M$4,M$9)+0.1*MAX(0,MIN(M$4-M$9,188694-M$9)))/M4</f>
        <v>5.8571333333333336E-2</v>
      </c>
    </row>
    <row r="23" spans="1:13" x14ac:dyDescent="0.35">
      <c r="A23" s="10" t="s">
        <v>12</v>
      </c>
      <c r="B23" s="14">
        <f>(0.092*MIN(B$4,B$10)+0.115*MAX(0,MIN(B$4-B$10, 191400-B$10)))/B4</f>
        <v>9.1999999999999998E-2</v>
      </c>
      <c r="C23" s="14">
        <f t="shared" ref="C23:L23" si="13">(0.092*MIN(C$4,C$10)+0.115*MAX(0,MIN(C$4-C$10, 191400-C$10)))/C4</f>
        <v>9.1999999999999998E-2</v>
      </c>
      <c r="D23" s="14">
        <f t="shared" si="13"/>
        <v>9.2310959999999984E-2</v>
      </c>
      <c r="E23" s="14">
        <f t="shared" si="13"/>
        <v>9.7983219999999996E-2</v>
      </c>
      <c r="F23" s="14">
        <f t="shared" si="13"/>
        <v>0.10138657600000001</v>
      </c>
      <c r="G23" s="14">
        <f t="shared" si="13"/>
        <v>0.10365547999999999</v>
      </c>
      <c r="H23" s="14">
        <f t="shared" si="13"/>
        <v>0.10527612571428571</v>
      </c>
      <c r="I23" s="14">
        <f t="shared" si="13"/>
        <v>0.10154661</v>
      </c>
      <c r="J23" s="14">
        <f t="shared" si="13"/>
        <v>9.0263653333333332E-2</v>
      </c>
      <c r="K23" s="15">
        <f t="shared" si="13"/>
        <v>8.1237288000000005E-2</v>
      </c>
      <c r="L23" s="14">
        <f t="shared" si="13"/>
        <v>7.3852080000000001E-2</v>
      </c>
      <c r="M23" s="14">
        <f t="shared" ref="M23" si="14">(0.092*MIN(M$4,M$10)+0.115*MAX(0,MIN(M$4-M$10, 191400-M$10)))/M4</f>
        <v>6.7697740000000006E-2</v>
      </c>
    </row>
    <row r="24" spans="1:13" x14ac:dyDescent="0.35">
      <c r="A24" s="10" t="s">
        <v>15</v>
      </c>
      <c r="B24" s="14">
        <f t="shared" ref="B24:H24" si="15">(-0.012*B$4+(0.092*MIN(1.012*B$4,B$10)+0.115*MAX(0,MIN(1.012*B$4-B$10, 191400-B$10))))/B$4</f>
        <v>8.1103999999999996E-2</v>
      </c>
      <c r="C24" s="14">
        <f t="shared" si="15"/>
        <v>8.1103999999999996E-2</v>
      </c>
      <c r="D24" s="14">
        <f t="shared" si="15"/>
        <v>8.1690959999999993E-2</v>
      </c>
      <c r="E24" s="14">
        <f t="shared" si="15"/>
        <v>8.7363220000000005E-2</v>
      </c>
      <c r="F24" s="14">
        <f t="shared" si="15"/>
        <v>9.0766576000000002E-2</v>
      </c>
      <c r="G24" s="14">
        <f t="shared" si="15"/>
        <v>9.3035480000000004E-2</v>
      </c>
      <c r="H24" s="14">
        <f t="shared" si="15"/>
        <v>9.4656125714285722E-2</v>
      </c>
      <c r="I24" s="14">
        <f>(-2296.8+(0.092*MIN(1.012*I$4,I$10)+0.115*MAX(0,MIN(1.012*I$4-I$10, 191400-I$10))))/I$4</f>
        <v>9.0062610000000001E-2</v>
      </c>
      <c r="J24" s="14">
        <f>(-2296.8+(0.092*MIN(1.012*J$4,J$10)+0.115*MAX(0,MIN(1.012*J$4-J$10, 191400-J$10))))/J$4</f>
        <v>8.0055653333333338E-2</v>
      </c>
      <c r="K24" s="14">
        <f>(-2296.8+(0.092*MIN(1.012*K$4,K$10)+0.115*MAX(0,MIN(1.012*K$4-K$10, 191400-K$10))))/K$4</f>
        <v>7.2050087999999998E-2</v>
      </c>
      <c r="L24" s="14">
        <f>(-2296.8+(0.092*MIN(1.012*L$4,L$10)+0.115*MAX(0,MIN(1.012*L$4-L$10, 191400-L$10))))/L$4</f>
        <v>6.5500080000000002E-2</v>
      </c>
      <c r="M24" s="14">
        <f>(-2296.8+(0.092*MIN(1.012*M$4,M$10)+0.115*MAX(0,MIN(1.012*M$4-M$10, 191400-M$10))))/M$4</f>
        <v>6.0041740000000003E-2</v>
      </c>
    </row>
    <row r="25" spans="1:13" x14ac:dyDescent="0.35">
      <c r="A25" s="10" t="s">
        <v>27</v>
      </c>
      <c r="B25" s="16">
        <f>B23/B22-1</f>
        <v>0.14999999999999991</v>
      </c>
      <c r="C25" s="16">
        <f t="shared" ref="C25:L25" si="16">C23/C22-1</f>
        <v>0.14999999999999991</v>
      </c>
      <c r="D25" s="16">
        <f t="shared" si="16"/>
        <v>0.11630474040632044</v>
      </c>
      <c r="E25" s="16">
        <f t="shared" si="16"/>
        <v>0.12598506090553885</v>
      </c>
      <c r="F25" s="16">
        <f t="shared" si="16"/>
        <v>0.13134458132476357</v>
      </c>
      <c r="G25" s="16">
        <f t="shared" si="16"/>
        <v>0.13474835790395545</v>
      </c>
      <c r="H25" s="16">
        <f t="shared" si="16"/>
        <v>0.13710171583755093</v>
      </c>
      <c r="I25" s="16">
        <f t="shared" si="16"/>
        <v>0.1558169525478903</v>
      </c>
      <c r="J25" s="16">
        <f t="shared" si="16"/>
        <v>0.1558169525478903</v>
      </c>
      <c r="K25" s="16">
        <f t="shared" si="16"/>
        <v>0.1558169525478903</v>
      </c>
      <c r="L25" s="16">
        <f t="shared" si="16"/>
        <v>0.15581695254789008</v>
      </c>
      <c r="M25" s="16">
        <f t="shared" ref="M25" si="17">M23/M22-1</f>
        <v>0.1558169525478903</v>
      </c>
    </row>
    <row r="26" spans="1:13" x14ac:dyDescent="0.35">
      <c r="A26" s="10" t="s">
        <v>29</v>
      </c>
      <c r="B26" s="16">
        <f>B24/B22-1</f>
        <v>1.3799999999999812E-2</v>
      </c>
      <c r="C26" s="16">
        <f t="shared" ref="C26:L26" si="18">C24/C22-1</f>
        <v>1.3799999999999812E-2</v>
      </c>
      <c r="D26" s="16">
        <f t="shared" si="18"/>
        <v>-1.2121573685907827E-2</v>
      </c>
      <c r="E26" s="16">
        <f t="shared" si="18"/>
        <v>3.9441507699380374E-3</v>
      </c>
      <c r="F26" s="16">
        <f t="shared" si="18"/>
        <v>1.2838957329048384E-2</v>
      </c>
      <c r="G26" s="16">
        <f t="shared" si="18"/>
        <v>1.8487957962341151E-2</v>
      </c>
      <c r="H26" s="16">
        <f t="shared" si="18"/>
        <v>2.2393655104308241E-2</v>
      </c>
      <c r="I26" s="16">
        <f t="shared" si="18"/>
        <v>2.5104544885438784E-2</v>
      </c>
      <c r="J26" s="16">
        <f t="shared" si="18"/>
        <v>2.5104544885438784E-2</v>
      </c>
      <c r="K26" s="16">
        <f t="shared" si="18"/>
        <v>2.5104544885438784E-2</v>
      </c>
      <c r="L26" s="16">
        <f t="shared" si="18"/>
        <v>2.5104544885438784E-2</v>
      </c>
      <c r="M26" s="16">
        <f t="shared" ref="M26" si="19">M24/M22-1</f>
        <v>2.5104544885438784E-2</v>
      </c>
    </row>
    <row r="27" spans="1:13" x14ac:dyDescent="0.3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7"/>
      <c r="L27" s="10"/>
      <c r="M27" s="10"/>
    </row>
    <row r="28" spans="1:13" x14ac:dyDescent="0.35">
      <c r="A28" s="10" t="s">
        <v>16</v>
      </c>
      <c r="B28" s="10"/>
      <c r="C28" s="10"/>
      <c r="D28" s="10"/>
      <c r="E28" s="10"/>
      <c r="F28" s="10"/>
      <c r="G28" s="10"/>
      <c r="H28" s="10"/>
      <c r="I28" s="10"/>
      <c r="J28" s="10"/>
      <c r="K28" s="17"/>
      <c r="L28" s="10"/>
      <c r="M28" s="10"/>
    </row>
    <row r="29" spans="1:13" x14ac:dyDescent="0.35">
      <c r="A29" s="10" t="s">
        <v>10</v>
      </c>
      <c r="B29" s="14">
        <f>B15/(B22*B$4)</f>
        <v>0.1615</v>
      </c>
      <c r="C29" s="14">
        <f>C15/(C22*C$4)</f>
        <v>0.1615</v>
      </c>
      <c r="D29" s="14">
        <f t="shared" ref="D29:L29" si="20">D15/(D22*D$4)</f>
        <v>0.16752660432118674</v>
      </c>
      <c r="E29" s="14">
        <f t="shared" si="20"/>
        <v>0.17363824408182027</v>
      </c>
      <c r="F29" s="14">
        <f t="shared" si="20"/>
        <v>0.17693269059096589</v>
      </c>
      <c r="G29" s="14">
        <f t="shared" si="20"/>
        <v>0.17909794190629102</v>
      </c>
      <c r="H29" s="14">
        <f t="shared" si="20"/>
        <v>0.1805949882730527</v>
      </c>
      <c r="I29" s="14">
        <f t="shared" si="20"/>
        <v>0.19338242826411098</v>
      </c>
      <c r="J29" s="14">
        <f t="shared" si="20"/>
        <v>0.19338242826411098</v>
      </c>
      <c r="K29" s="14">
        <f t="shared" si="20"/>
        <v>0.19338242826411098</v>
      </c>
      <c r="L29" s="14">
        <f t="shared" si="20"/>
        <v>0.19338242826411098</v>
      </c>
      <c r="M29" s="14">
        <f t="shared" ref="M29" si="21">M15/(M22*M$4)</f>
        <v>0.19338242826411098</v>
      </c>
    </row>
    <row r="30" spans="1:13" x14ac:dyDescent="0.35">
      <c r="A30" s="10" t="s">
        <v>12</v>
      </c>
      <c r="B30" s="14">
        <f>B16/(B23*B$4)</f>
        <v>0.16652173913043478</v>
      </c>
      <c r="C30" s="14">
        <f t="shared" ref="C30:M31" si="22">C16/(C23*C$4)</f>
        <v>0.16652173913043478</v>
      </c>
      <c r="D30" s="14">
        <f t="shared" si="22"/>
        <v>0.16740518496756329</v>
      </c>
      <c r="E30" s="14">
        <f t="shared" si="22"/>
        <v>0.16717148099439882</v>
      </c>
      <c r="F30" s="14">
        <f t="shared" si="22"/>
        <v>0.16696490470296579</v>
      </c>
      <c r="G30" s="14">
        <f t="shared" si="22"/>
        <v>0.16689903900883968</v>
      </c>
      <c r="H30" s="14">
        <f t="shared" si="22"/>
        <v>0.16679945126074439</v>
      </c>
      <c r="I30" s="14">
        <f t="shared" si="22"/>
        <v>0.17484581710802558</v>
      </c>
      <c r="J30" s="14">
        <f t="shared" si="22"/>
        <v>0.17484581710802558</v>
      </c>
      <c r="K30" s="14">
        <f t="shared" si="22"/>
        <v>0.17484581710802558</v>
      </c>
      <c r="L30" s="14">
        <f t="shared" si="22"/>
        <v>0.17484581710802558</v>
      </c>
      <c r="M30" s="14">
        <f t="shared" ref="M30" si="23">M16/(M23*M$4)</f>
        <v>0.17484581710802558</v>
      </c>
    </row>
    <row r="31" spans="1:13" x14ac:dyDescent="0.35">
      <c r="A31" s="10" t="s">
        <v>17</v>
      </c>
      <c r="B31" s="14">
        <f>B17/(B24*B$4)</f>
        <v>0.19086604853028211</v>
      </c>
      <c r="C31" s="14">
        <f t="shared" si="22"/>
        <v>0.19111264549220755</v>
      </c>
      <c r="D31" s="14">
        <f t="shared" si="22"/>
        <v>0.19194290286220167</v>
      </c>
      <c r="E31" s="14">
        <f t="shared" si="22"/>
        <v>0.19012577604167977</v>
      </c>
      <c r="F31" s="14">
        <f t="shared" si="22"/>
        <v>0.18905637687599894</v>
      </c>
      <c r="G31" s="14">
        <f t="shared" si="22"/>
        <v>0.18838691074272595</v>
      </c>
      <c r="H31" s="14">
        <f t="shared" si="22"/>
        <v>0.18798873902780242</v>
      </c>
      <c r="I31" s="14">
        <f t="shared" si="22"/>
        <v>0.19714063361032952</v>
      </c>
      <c r="J31" s="14">
        <f t="shared" si="22"/>
        <v>0.19714063361032952</v>
      </c>
      <c r="K31" s="14">
        <f t="shared" si="22"/>
        <v>0.19714063361032952</v>
      </c>
      <c r="L31" s="14">
        <f t="shared" si="22"/>
        <v>0.19714063361032952</v>
      </c>
      <c r="M31" s="14">
        <f t="shared" si="22"/>
        <v>0.19714063361032952</v>
      </c>
    </row>
    <row r="32" spans="1:13" x14ac:dyDescent="0.35">
      <c r="A32" s="10" t="s">
        <v>27</v>
      </c>
      <c r="B32" s="18">
        <f>B30/B29-1</f>
        <v>3.1094359940772476E-2</v>
      </c>
      <c r="C32" s="18">
        <f t="shared" ref="C32:L32" si="24">C30/C29-1</f>
        <v>3.1094359940772476E-2</v>
      </c>
      <c r="D32" s="19">
        <f t="shared" si="24"/>
        <v>-7.2477654588321005E-4</v>
      </c>
      <c r="E32" s="19">
        <f t="shared" si="24"/>
        <v>-3.7242734868789817E-2</v>
      </c>
      <c r="F32" s="19">
        <f t="shared" si="24"/>
        <v>-5.6336598141966232E-2</v>
      </c>
      <c r="G32" s="19">
        <f t="shared" si="24"/>
        <v>-6.8113026691474454E-2</v>
      </c>
      <c r="H32" s="19">
        <f t="shared" si="24"/>
        <v>-7.6389367967675814E-2</v>
      </c>
      <c r="I32" s="19">
        <f t="shared" si="24"/>
        <v>-9.5854681950570675E-2</v>
      </c>
      <c r="J32" s="19">
        <f t="shared" si="24"/>
        <v>-9.5854681950570675E-2</v>
      </c>
      <c r="K32" s="19">
        <f t="shared" si="24"/>
        <v>-9.5854681950570675E-2</v>
      </c>
      <c r="L32" s="19">
        <f t="shared" si="24"/>
        <v>-9.5854681950570675E-2</v>
      </c>
      <c r="M32" s="19">
        <f t="shared" ref="M32" si="25">M30/M29-1</f>
        <v>-9.5854681950570675E-2</v>
      </c>
    </row>
    <row r="33" spans="1:13" x14ac:dyDescent="0.35">
      <c r="A33" s="10" t="s">
        <v>28</v>
      </c>
      <c r="B33" s="18">
        <f>B31/B29-1</f>
        <v>0.18183311783456402</v>
      </c>
      <c r="C33" s="18">
        <f t="shared" ref="C33:L33" si="26">C31/C29-1</f>
        <v>0.18336003400747702</v>
      </c>
      <c r="D33" s="18">
        <f t="shared" si="26"/>
        <v>0.14574579745079363</v>
      </c>
      <c r="E33" s="18">
        <f t="shared" si="26"/>
        <v>9.4953344218859925E-2</v>
      </c>
      <c r="F33" s="18">
        <f t="shared" si="26"/>
        <v>6.852146002267423E-2</v>
      </c>
      <c r="G33" s="18">
        <f t="shared" si="26"/>
        <v>5.1865301954699072E-2</v>
      </c>
      <c r="H33" s="18">
        <f t="shared" si="26"/>
        <v>4.094106279167975E-2</v>
      </c>
      <c r="I33" s="18">
        <f t="shared" si="26"/>
        <v>1.9434058099041973E-2</v>
      </c>
      <c r="J33" s="18">
        <f t="shared" si="26"/>
        <v>1.9434058099041973E-2</v>
      </c>
      <c r="K33" s="18">
        <f t="shared" si="26"/>
        <v>1.9434058099041973E-2</v>
      </c>
      <c r="L33" s="18">
        <f t="shared" si="26"/>
        <v>1.9434058099041973E-2</v>
      </c>
      <c r="M33" s="18">
        <f t="shared" ref="M33" si="27">M31/M29-1</f>
        <v>1.9434058099041973E-2</v>
      </c>
    </row>
    <row r="34" spans="1:13" x14ac:dyDescent="0.3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7"/>
      <c r="L34" s="10"/>
      <c r="M34" s="10"/>
    </row>
    <row r="35" spans="1:13" x14ac:dyDescent="0.35">
      <c r="A35" s="10" t="s">
        <v>30</v>
      </c>
      <c r="B35" s="10"/>
      <c r="C35" s="10"/>
      <c r="D35" s="10"/>
      <c r="E35" s="10"/>
      <c r="F35" s="10"/>
      <c r="G35" s="10"/>
      <c r="H35" s="10"/>
      <c r="I35" s="10"/>
      <c r="J35" s="10"/>
      <c r="K35" s="17"/>
      <c r="L35" s="10"/>
      <c r="M35" s="10"/>
    </row>
    <row r="36" spans="1:13" x14ac:dyDescent="0.3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7"/>
      <c r="L36" s="10"/>
      <c r="M36" s="10"/>
    </row>
    <row r="37" spans="1:13" x14ac:dyDescent="0.35">
      <c r="A37" s="10" t="s">
        <v>31</v>
      </c>
      <c r="B37" s="10"/>
      <c r="C37" s="10"/>
      <c r="D37" s="10"/>
      <c r="E37" s="10"/>
      <c r="F37" s="10"/>
      <c r="G37" s="10"/>
      <c r="H37" s="10"/>
      <c r="I37" s="10"/>
      <c r="J37" s="10"/>
      <c r="K37" s="17"/>
      <c r="L37" s="10"/>
      <c r="M37" s="10"/>
    </row>
    <row r="38" spans="1:13" x14ac:dyDescent="0.35">
      <c r="A38" s="10" t="s">
        <v>32</v>
      </c>
      <c r="B38" s="16">
        <f>B29</f>
        <v>0.1615</v>
      </c>
      <c r="C38" s="16">
        <f t="shared" ref="C38:L38" si="28">C29</f>
        <v>0.1615</v>
      </c>
      <c r="D38" s="16">
        <f t="shared" si="28"/>
        <v>0.16752660432118674</v>
      </c>
      <c r="E38" s="16">
        <f t="shared" si="28"/>
        <v>0.17363824408182027</v>
      </c>
      <c r="F38" s="16">
        <f t="shared" si="28"/>
        <v>0.17693269059096589</v>
      </c>
      <c r="G38" s="16">
        <f t="shared" si="28"/>
        <v>0.17909794190629102</v>
      </c>
      <c r="H38" s="16">
        <f t="shared" si="28"/>
        <v>0.1805949882730527</v>
      </c>
      <c r="I38" s="16">
        <f t="shared" si="28"/>
        <v>0.19338242826411098</v>
      </c>
      <c r="J38" s="16">
        <f t="shared" si="28"/>
        <v>0.19338242826411098</v>
      </c>
      <c r="K38" s="16">
        <f t="shared" si="28"/>
        <v>0.19338242826411098</v>
      </c>
      <c r="L38" s="16">
        <f t="shared" si="28"/>
        <v>0.19338242826411098</v>
      </c>
      <c r="M38" s="16">
        <f t="shared" ref="M38" si="29">M29</f>
        <v>0.19338242826411098</v>
      </c>
    </row>
    <row r="39" spans="1:13" x14ac:dyDescent="0.35">
      <c r="A39" s="10" t="s">
        <v>33</v>
      </c>
      <c r="B39" s="14">
        <f>B30*(1+Assumptions!$B$3)</f>
        <v>0.16907385130434782</v>
      </c>
      <c r="C39" s="14">
        <f>C30*(1+Assumptions!$B$3)</f>
        <v>0.16907385130434782</v>
      </c>
      <c r="D39" s="14">
        <f>D30*(1+Assumptions!$B$3)</f>
        <v>0.16997083683237615</v>
      </c>
      <c r="E39" s="14">
        <f>E30*(1+Assumptions!$B$3)</f>
        <v>0.16973355111211896</v>
      </c>
      <c r="F39" s="14">
        <f>F30*(1+Assumptions!$B$3)</f>
        <v>0.16952380883244345</v>
      </c>
      <c r="G39" s="14">
        <f>G30*(1+Assumptions!$B$3)</f>
        <v>0.16945693368068915</v>
      </c>
      <c r="H39" s="14">
        <f>H30*(1+Assumptions!$B$3)</f>
        <v>0.16935581965076654</v>
      </c>
      <c r="I39" s="14">
        <f>I30*(1+Assumptions!$B$3)</f>
        <v>0.17752550410102316</v>
      </c>
      <c r="J39" s="14">
        <f>J30*(1+Assumptions!$B$3)</f>
        <v>0.17752550410102316</v>
      </c>
      <c r="K39" s="14">
        <f>K30*(1+Assumptions!$B$3)</f>
        <v>0.17752550410102316</v>
      </c>
      <c r="L39" s="14">
        <f>L30*(1+Assumptions!$B$3)</f>
        <v>0.17752550410102316</v>
      </c>
      <c r="M39" s="14">
        <f>M30*(1+Assumptions!$B$3)</f>
        <v>0.17752550410102316</v>
      </c>
    </row>
    <row r="40" spans="1:13" x14ac:dyDescent="0.35">
      <c r="A40" s="10" t="s">
        <v>34</v>
      </c>
      <c r="B40" s="14">
        <f>B31*(1+Assumptions!$B$3)</f>
        <v>0.19379126159005719</v>
      </c>
      <c r="C40" s="14">
        <f>C31*(1+Assumptions!$B$3)</f>
        <v>0.19404163789702111</v>
      </c>
      <c r="D40" s="14">
        <f>D31*(1+Assumptions!$B$3)</f>
        <v>0.19488461979146776</v>
      </c>
      <c r="E40" s="14">
        <f>E31*(1+Assumptions!$B$3)</f>
        <v>0.19303964368529455</v>
      </c>
      <c r="F40" s="14">
        <f>F31*(1+Assumptions!$B$3)</f>
        <v>0.19195385490800049</v>
      </c>
      <c r="G40" s="14">
        <f>G31*(1+Assumptions!$B$3)</f>
        <v>0.19127412853676895</v>
      </c>
      <c r="H40" s="14">
        <f>H31*(1+Assumptions!$B$3)</f>
        <v>0.19086985444214249</v>
      </c>
      <c r="I40" s="14">
        <f>I31*(1+Assumptions!$B$3)</f>
        <v>0.20016201096104141</v>
      </c>
      <c r="J40" s="14">
        <f>J31*(1+Assumptions!$B$3)</f>
        <v>0.20016201096104141</v>
      </c>
      <c r="K40" s="14">
        <f>K31*(1+Assumptions!$B$3)</f>
        <v>0.20016201096104141</v>
      </c>
      <c r="L40" s="14">
        <f>L31*(1+Assumptions!$B$3)</f>
        <v>0.20016201096104141</v>
      </c>
      <c r="M40" s="14">
        <f>M31*(1+Assumptions!$B$3)</f>
        <v>0.20016201096104141</v>
      </c>
    </row>
    <row r="41" spans="1:13" x14ac:dyDescent="0.35">
      <c r="A41" s="10" t="s">
        <v>27</v>
      </c>
      <c r="B41" s="20">
        <f>B39/B38-1</f>
        <v>4.6896912101224819E-2</v>
      </c>
      <c r="C41" s="20">
        <f t="shared" ref="C41:L41" si="30">C39/C38-1</f>
        <v>4.6896912101224819E-2</v>
      </c>
      <c r="D41" s="20">
        <f t="shared" si="30"/>
        <v>1.459011552877465E-2</v>
      </c>
      <c r="E41" s="21">
        <f t="shared" si="30"/>
        <v>-2.2487517023389025E-2</v>
      </c>
      <c r="F41" s="21">
        <f t="shared" si="30"/>
        <v>-4.1874012845090069E-2</v>
      </c>
      <c r="G41" s="21">
        <f t="shared" si="30"/>
        <v>-5.3830926938548074E-2</v>
      </c>
      <c r="H41" s="21">
        <f t="shared" si="30"/>
        <v>-6.223411142114843E-2</v>
      </c>
      <c r="I41" s="21">
        <f t="shared" si="30"/>
        <v>-8.1997750806145131E-2</v>
      </c>
      <c r="J41" s="21">
        <f t="shared" si="30"/>
        <v>-8.1997750806145131E-2</v>
      </c>
      <c r="K41" s="21">
        <f t="shared" si="30"/>
        <v>-8.1997750806145131E-2</v>
      </c>
      <c r="L41" s="21">
        <f t="shared" si="30"/>
        <v>-8.1997750806145131E-2</v>
      </c>
      <c r="M41" s="21">
        <f t="shared" ref="M41" si="31">M39/M38-1</f>
        <v>-8.1997750806145131E-2</v>
      </c>
    </row>
    <row r="42" spans="1:13" x14ac:dyDescent="0.35">
      <c r="A42" s="10" t="s">
        <v>28</v>
      </c>
      <c r="B42" s="20">
        <f>B40/B38-1</f>
        <v>0.19994589219849646</v>
      </c>
      <c r="C42" s="20">
        <f t="shared" ref="C42:L42" si="32">C40/C38-1</f>
        <v>0.20149620988867567</v>
      </c>
      <c r="D42" s="20">
        <f t="shared" si="32"/>
        <v>0.16330549754252432</v>
      </c>
      <c r="E42" s="20">
        <f t="shared" si="32"/>
        <v>0.11173459917235817</v>
      </c>
      <c r="F42" s="20">
        <f t="shared" si="32"/>
        <v>8.4897619918981704E-2</v>
      </c>
      <c r="G42" s="20">
        <f t="shared" si="32"/>
        <v>6.7986189572456723E-2</v>
      </c>
      <c r="H42" s="20">
        <f t="shared" si="32"/>
        <v>5.689452552002483E-2</v>
      </c>
      <c r="I42" s="20">
        <f t="shared" si="32"/>
        <v>3.5057904473467794E-2</v>
      </c>
      <c r="J42" s="20">
        <f t="shared" si="32"/>
        <v>3.5057904473467794E-2</v>
      </c>
      <c r="K42" s="20">
        <f t="shared" si="32"/>
        <v>3.5057904473467794E-2</v>
      </c>
      <c r="L42" s="20">
        <f t="shared" si="32"/>
        <v>3.5057904473467794E-2</v>
      </c>
      <c r="M42" s="20">
        <f t="shared" ref="M42" si="33">M40/M38-1</f>
        <v>3.5057904473467794E-2</v>
      </c>
    </row>
    <row r="43" spans="1:13" x14ac:dyDescent="0.3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7"/>
      <c r="L43" s="10"/>
      <c r="M43" s="10"/>
    </row>
    <row r="44" spans="1:13" x14ac:dyDescent="0.35">
      <c r="A44" s="10" t="s">
        <v>35</v>
      </c>
      <c r="B44" s="16">
        <f>B29</f>
        <v>0.1615</v>
      </c>
      <c r="C44" s="16">
        <f t="shared" ref="C44:L44" si="34">C29</f>
        <v>0.1615</v>
      </c>
      <c r="D44" s="16">
        <f t="shared" si="34"/>
        <v>0.16752660432118674</v>
      </c>
      <c r="E44" s="16">
        <f t="shared" si="34"/>
        <v>0.17363824408182027</v>
      </c>
      <c r="F44" s="16">
        <f t="shared" si="34"/>
        <v>0.17693269059096589</v>
      </c>
      <c r="G44" s="16">
        <f t="shared" si="34"/>
        <v>0.17909794190629102</v>
      </c>
      <c r="H44" s="16">
        <f t="shared" si="34"/>
        <v>0.1805949882730527</v>
      </c>
      <c r="I44" s="16">
        <f t="shared" si="34"/>
        <v>0.19338242826411098</v>
      </c>
      <c r="J44" s="16">
        <f t="shared" si="34"/>
        <v>0.19338242826411098</v>
      </c>
      <c r="K44" s="16">
        <f t="shared" si="34"/>
        <v>0.19338242826411098</v>
      </c>
      <c r="L44" s="16">
        <f t="shared" si="34"/>
        <v>0.19338242826411098</v>
      </c>
      <c r="M44" s="16">
        <f t="shared" ref="M44" si="35">M29</f>
        <v>0.19338242826411098</v>
      </c>
    </row>
    <row r="45" spans="1:13" x14ac:dyDescent="0.35">
      <c r="A45" s="10" t="s">
        <v>36</v>
      </c>
      <c r="B45" s="16">
        <f>B30*(1+Assumptions!$B$4)</f>
        <v>0.18084260869565219</v>
      </c>
      <c r="C45" s="16">
        <f>C30*(1+Assumptions!$B$4)</f>
        <v>0.18084260869565219</v>
      </c>
      <c r="D45" s="16">
        <f>D30*(1+Assumptions!$B$4)</f>
        <v>0.18180203087477376</v>
      </c>
      <c r="E45" s="16">
        <f>E30*(1+Assumptions!$B$4)</f>
        <v>0.18154822835991713</v>
      </c>
      <c r="F45" s="16">
        <f>F30*(1+Assumptions!$B$4)</f>
        <v>0.18132388650742087</v>
      </c>
      <c r="G45" s="16">
        <f>G30*(1+Assumptions!$B$4)</f>
        <v>0.1812523563635999</v>
      </c>
      <c r="H45" s="16">
        <f>H30*(1+Assumptions!$B$4)</f>
        <v>0.18114420406916842</v>
      </c>
      <c r="I45" s="16">
        <f>I30*(1+Assumptions!$B$4)</f>
        <v>0.18988255737931578</v>
      </c>
      <c r="J45" s="16">
        <f>J30*(1+Assumptions!$B$4)</f>
        <v>0.18988255737931578</v>
      </c>
      <c r="K45" s="16">
        <f>K30*(1+Assumptions!$B$4)</f>
        <v>0.18988255737931578</v>
      </c>
      <c r="L45" s="16">
        <f>L30*(1+Assumptions!$B$4)</f>
        <v>0.18988255737931578</v>
      </c>
      <c r="M45" s="16">
        <f>M30*(1+Assumptions!$B$4)</f>
        <v>0.18988255737931578</v>
      </c>
    </row>
    <row r="46" spans="1:13" x14ac:dyDescent="0.35">
      <c r="A46" s="10" t="s">
        <v>37</v>
      </c>
      <c r="B46" s="16">
        <f>B31*(1+Assumptions!$B$4)</f>
        <v>0.20728052870388639</v>
      </c>
      <c r="C46" s="16">
        <f>C31*(1+Assumptions!$B$4)</f>
        <v>0.20754833300453743</v>
      </c>
      <c r="D46" s="16">
        <f>D31*(1+Assumptions!$B$4)</f>
        <v>0.20844999250835103</v>
      </c>
      <c r="E46" s="16">
        <f>E31*(1+Assumptions!$B$4)</f>
        <v>0.20647659278126423</v>
      </c>
      <c r="F46" s="16">
        <f>F31*(1+Assumptions!$B$4)</f>
        <v>0.20531522528733487</v>
      </c>
      <c r="G46" s="16">
        <f>G31*(1+Assumptions!$B$4)</f>
        <v>0.2045881850666004</v>
      </c>
      <c r="H46" s="16">
        <f>H31*(1+Assumptions!$B$4)</f>
        <v>0.20415577058419343</v>
      </c>
      <c r="I46" s="16">
        <f>I31*(1+Assumptions!$B$4)</f>
        <v>0.21409472810081787</v>
      </c>
      <c r="J46" s="16">
        <f>J31*(1+Assumptions!$B$4)</f>
        <v>0.21409472810081787</v>
      </c>
      <c r="K46" s="16">
        <f>K31*(1+Assumptions!$B$4)</f>
        <v>0.21409472810081787</v>
      </c>
      <c r="L46" s="16">
        <f>L31*(1+Assumptions!$B$4)</f>
        <v>0.21409472810081787</v>
      </c>
      <c r="M46" s="16">
        <f>M31*(1+Assumptions!$B$4)</f>
        <v>0.21409472810081787</v>
      </c>
    </row>
    <row r="47" spans="1:13" x14ac:dyDescent="0.35">
      <c r="A47" s="10" t="s">
        <v>27</v>
      </c>
      <c r="B47" s="20">
        <f>B45/B44-1</f>
        <v>0.1197684748956791</v>
      </c>
      <c r="C47" s="20">
        <f t="shared" ref="C47:L47" si="36">C45/C44-1</f>
        <v>0.1197684748956791</v>
      </c>
      <c r="D47" s="20">
        <f t="shared" si="36"/>
        <v>8.5212892671171048E-2</v>
      </c>
      <c r="E47" s="20">
        <f t="shared" si="36"/>
        <v>4.5554389932494388E-2</v>
      </c>
      <c r="F47" s="20">
        <f t="shared" si="36"/>
        <v>2.4818454417824709E-2</v>
      </c>
      <c r="G47" s="20">
        <f t="shared" si="36"/>
        <v>1.2029253013058794E-2</v>
      </c>
      <c r="H47" s="20">
        <f t="shared" si="36"/>
        <v>3.0411463871042876E-3</v>
      </c>
      <c r="I47" s="21">
        <f t="shared" si="36"/>
        <v>-1.8098184598319689E-2</v>
      </c>
      <c r="J47" s="21">
        <f t="shared" si="36"/>
        <v>-1.8098184598319689E-2</v>
      </c>
      <c r="K47" s="21">
        <f t="shared" si="36"/>
        <v>-1.8098184598319689E-2</v>
      </c>
      <c r="L47" s="21">
        <f t="shared" si="36"/>
        <v>-1.8098184598319689E-2</v>
      </c>
      <c r="M47" s="21">
        <f t="shared" ref="M47" si="37">M45/M44-1</f>
        <v>-1.8098184598319689E-2</v>
      </c>
    </row>
    <row r="48" spans="1:13" x14ac:dyDescent="0.35">
      <c r="A48" s="10" t="s">
        <v>28</v>
      </c>
      <c r="B48" s="20">
        <f>B46/B44-1</f>
        <v>0.28347076596833665</v>
      </c>
      <c r="C48" s="20">
        <f t="shared" ref="C48:L48" si="38">C46/C44-1</f>
        <v>0.28512899693212024</v>
      </c>
      <c r="D48" s="20">
        <f t="shared" si="38"/>
        <v>0.24427993603156195</v>
      </c>
      <c r="E48" s="20">
        <f t="shared" si="38"/>
        <v>0.18911933182168195</v>
      </c>
      <c r="F48" s="20">
        <f t="shared" si="38"/>
        <v>0.16041430558462433</v>
      </c>
      <c r="G48" s="20">
        <f t="shared" si="38"/>
        <v>0.14232571792280324</v>
      </c>
      <c r="H48" s="20">
        <f t="shared" si="38"/>
        <v>0.13046199419176419</v>
      </c>
      <c r="I48" s="20">
        <f t="shared" si="38"/>
        <v>0.10710538709555961</v>
      </c>
      <c r="J48" s="20">
        <f t="shared" si="38"/>
        <v>0.10710538709555961</v>
      </c>
      <c r="K48" s="20">
        <f t="shared" si="38"/>
        <v>0.10710538709555961</v>
      </c>
      <c r="L48" s="20">
        <f t="shared" si="38"/>
        <v>0.10710538709555961</v>
      </c>
      <c r="M48" s="20">
        <f t="shared" ref="M48" si="39">M46/M44-1</f>
        <v>0.10710538709555961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ED1DE-63DA-F34B-8F4D-10CF6E567314}">
  <dimension ref="A2:B10"/>
  <sheetViews>
    <sheetView workbookViewId="0">
      <selection activeCell="B4" sqref="B4"/>
    </sheetView>
  </sheetViews>
  <sheetFormatPr defaultColWidth="10.6640625" defaultRowHeight="15.5" x14ac:dyDescent="0.35"/>
  <cols>
    <col min="1" max="1" width="27.33203125" customWidth="1"/>
    <col min="2" max="2" width="18.1640625" customWidth="1"/>
  </cols>
  <sheetData>
    <row r="2" spans="1:2" x14ac:dyDescent="0.35">
      <c r="A2" t="s">
        <v>18</v>
      </c>
      <c r="B2" s="1">
        <v>0.03</v>
      </c>
    </row>
    <row r="3" spans="1:2" x14ac:dyDescent="0.35">
      <c r="A3" t="s">
        <v>19</v>
      </c>
      <c r="B3" s="1">
        <v>1.5325999999999999E-2</v>
      </c>
    </row>
    <row r="4" spans="1:2" x14ac:dyDescent="0.35">
      <c r="A4" t="s">
        <v>20</v>
      </c>
      <c r="B4" s="1">
        <v>8.5999999999999993E-2</v>
      </c>
    </row>
    <row r="7" spans="1:2" x14ac:dyDescent="0.35">
      <c r="A7" t="s">
        <v>21</v>
      </c>
      <c r="B7" s="1">
        <v>0.05</v>
      </c>
    </row>
    <row r="8" spans="1:2" x14ac:dyDescent="0.35">
      <c r="A8" t="s">
        <v>22</v>
      </c>
      <c r="B8" s="2">
        <v>65</v>
      </c>
    </row>
    <row r="9" spans="1:2" x14ac:dyDescent="0.35">
      <c r="A9" t="s">
        <v>23</v>
      </c>
      <c r="B9" s="5" t="s">
        <v>24</v>
      </c>
    </row>
    <row r="10" spans="1:2" x14ac:dyDescent="0.35">
      <c r="A10" s="4" t="s">
        <v>25</v>
      </c>
      <c r="B10" s="3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Comparison</vt:lpstr>
      <vt:lpstr>Assumptions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Azim Essaji</dc:creator>
  <cp:lastModifiedBy>Ryan Ladner</cp:lastModifiedBy>
  <dcterms:created xsi:type="dcterms:W3CDTF">2022-12-23T19:34:14Z</dcterms:created>
  <dcterms:modified xsi:type="dcterms:W3CDTF">2023-06-13T13:25:13Z</dcterms:modified>
</cp:coreProperties>
</file>